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240" yWindow="90" windowWidth="15480" windowHeight="8070"/>
  </bookViews>
  <sheets>
    <sheet name="DVA" sheetId="2" r:id="rId1"/>
  </sheets>
  <calcPr calcId="144525"/>
  <fileRecoveryPr repairLoad="1"/>
</workbook>
</file>

<file path=xl/calcChain.xml><?xml version="1.0" encoding="utf-8"?>
<calcChain xmlns="http://schemas.openxmlformats.org/spreadsheetml/2006/main">
  <c r="H39" i="2" l="1"/>
  <c r="H24" i="2"/>
  <c r="H25" i="2"/>
  <c r="H26" i="2"/>
  <c r="D39" i="2"/>
  <c r="J23" i="2"/>
  <c r="F23" i="2"/>
  <c r="J37" i="2"/>
  <c r="F37" i="2"/>
  <c r="H38" i="2"/>
  <c r="D38" i="2"/>
  <c r="D26" i="2"/>
  <c r="D25" i="2"/>
  <c r="J13" i="2"/>
  <c r="D19" i="2"/>
  <c r="D8" i="2"/>
  <c r="D31" i="2"/>
  <c r="D30" i="2"/>
  <c r="J29" i="2"/>
  <c r="H31" i="2"/>
  <c r="H43" i="2"/>
  <c r="H42" i="2"/>
  <c r="H41" i="2"/>
  <c r="H36" i="2"/>
  <c r="H35" i="2"/>
  <c r="H34" i="2"/>
  <c r="H32" i="2"/>
  <c r="H30" i="2"/>
  <c r="H21" i="2"/>
  <c r="H19" i="2"/>
  <c r="H18" i="2"/>
  <c r="H17" i="2"/>
  <c r="H16" i="2"/>
  <c r="H15" i="2"/>
  <c r="H14" i="2"/>
  <c r="H12" i="2"/>
  <c r="H9" i="2"/>
  <c r="H8" i="2"/>
  <c r="D43" i="2"/>
  <c r="D42" i="2"/>
  <c r="D41" i="2"/>
  <c r="D36" i="2"/>
  <c r="D35" i="2"/>
  <c r="D34" i="2"/>
  <c r="D24" i="2"/>
  <c r="D23" i="2" s="1"/>
  <c r="D21" i="2"/>
  <c r="D18" i="2"/>
  <c r="D17" i="2"/>
  <c r="D16" i="2"/>
  <c r="D15" i="2"/>
  <c r="D14" i="2"/>
  <c r="D12" i="2"/>
  <c r="D9" i="2"/>
  <c r="F40" i="2"/>
  <c r="F33" i="2"/>
  <c r="F7" i="2"/>
  <c r="J33" i="2"/>
  <c r="J40" i="2"/>
  <c r="J7" i="2"/>
  <c r="H37" i="2" l="1"/>
  <c r="H23" i="2"/>
  <c r="J10" i="2"/>
  <c r="J20" i="2" s="1"/>
  <c r="J22" i="2" s="1"/>
  <c r="J27" i="2" s="1"/>
  <c r="D40" i="2"/>
  <c r="D37" i="2"/>
  <c r="F13" i="2"/>
  <c r="D33" i="2"/>
  <c r="D32" i="2"/>
  <c r="D29" i="2" s="1"/>
  <c r="D13" i="2"/>
  <c r="D11" i="2"/>
  <c r="H11" i="2"/>
  <c r="H29" i="2"/>
  <c r="J28" i="2"/>
  <c r="K40" i="2" s="1"/>
  <c r="F29" i="2"/>
  <c r="F28" i="2" s="1"/>
  <c r="H40" i="2"/>
  <c r="H33" i="2"/>
  <c r="H13" i="2"/>
  <c r="H7" i="2"/>
  <c r="D7" i="2"/>
  <c r="D28" i="2" l="1"/>
  <c r="E37" i="2" s="1"/>
  <c r="F10" i="2"/>
  <c r="F20" i="2" s="1"/>
  <c r="H10" i="2"/>
  <c r="D10" i="2"/>
  <c r="G29" i="2"/>
  <c r="H28" i="2"/>
  <c r="I40" i="2" s="1"/>
  <c r="K33" i="2"/>
  <c r="K29" i="2"/>
  <c r="G33" i="2"/>
  <c r="G40" i="2"/>
  <c r="G37" i="2"/>
  <c r="K37" i="2"/>
  <c r="H20" i="2" l="1"/>
  <c r="H22" i="2" s="1"/>
  <c r="D20" i="2"/>
  <c r="D22" i="2" s="1"/>
  <c r="F22" i="2"/>
  <c r="F27" i="2" s="1"/>
  <c r="I33" i="2"/>
  <c r="I37" i="2"/>
  <c r="E33" i="2"/>
  <c r="E40" i="2"/>
  <c r="E29" i="2"/>
  <c r="I29" i="2"/>
  <c r="K28" i="2"/>
  <c r="G28" i="2"/>
  <c r="D27" i="2" l="1"/>
  <c r="I28" i="2"/>
  <c r="E28" i="2"/>
  <c r="H27" i="2"/>
</calcChain>
</file>

<file path=xl/sharedStrings.xml><?xml version="1.0" encoding="utf-8"?>
<sst xmlns="http://schemas.openxmlformats.org/spreadsheetml/2006/main" count="49" uniqueCount="44">
  <si>
    <t xml:space="preserve">ITAÚSA - INVESTIMENTOS ITAÚ S.A. </t>
  </si>
  <si>
    <t>Demonstração do Valor Adicionado Consolidada</t>
  </si>
  <si>
    <t>%</t>
  </si>
  <si>
    <t>RECEITAS</t>
  </si>
  <si>
    <t>Outras</t>
  </si>
  <si>
    <t>INSUMOS ADQUIRIDOS DE TERCEIROS</t>
  </si>
  <si>
    <t>Processamento de Dados e Telecomunicações</t>
  </si>
  <si>
    <t>Propaganda, Promoções e Publicidade</t>
  </si>
  <si>
    <t>Viagens</t>
  </si>
  <si>
    <t xml:space="preserve">VALOR ADICIONADO BRUTO </t>
  </si>
  <si>
    <t xml:space="preserve">VALOR ADICIONADO RECEBIDO EM TRANSFERÊNCIA </t>
  </si>
  <si>
    <t xml:space="preserve">VALOR ADICIONADO TOTAL A DISTRIBUIR </t>
  </si>
  <si>
    <t>DISTRIBUIÇÃO DO VALOR ADICIONADO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</si>
  <si>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</si>
  <si>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</si>
  <si>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</si>
  <si>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</si>
  <si>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</si>
  <si>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</si>
  <si>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</si>
  <si>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</si>
  <si>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</si>
  <si>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VALOR ADICIONADO LÍQUIDO PRODUZIDO</t>
  </si>
  <si>
    <t>Participação dos Acionistas Não Controladores nos Lucros Retidos</t>
  </si>
  <si>
    <t>Legais e Judiciais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</si>
  <si>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</si>
  <si>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</si>
  <si>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</si>
  <si>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</si>
  <si>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</si>
  <si>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 xml:space="preserve">Instalações, Conservação e Manutenção de Bens </t>
  </si>
  <si>
    <t>As notas explicativas são parte integrante das demonstrações contábeis.</t>
  </si>
  <si>
    <t>DEPRECIAÇÃO E AMORTIZAÇÃO</t>
  </si>
  <si>
    <t xml:space="preserve">Outras Receitas </t>
  </si>
  <si>
    <t xml:space="preserve">Remuneração de Capitais de Terceiros </t>
  </si>
  <si>
    <t>Aluguéis</t>
  </si>
  <si>
    <t>Materiais, Energia, Serviços Terceiros e Outros</t>
  </si>
  <si>
    <t>Receitas Financeiras</t>
  </si>
  <si>
    <t>Custos dos Produtos e Serviços</t>
  </si>
  <si>
    <t>Juros</t>
  </si>
  <si>
    <t>01/07 a 30/09/2014</t>
  </si>
  <si>
    <t>01/01 a 30/09/2014</t>
  </si>
  <si>
    <t>01/07 a 30/09/2013</t>
  </si>
  <si>
    <t>01/01 a 30/09/2013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</si>
</sst>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8"/>
      <color indexed="48"/>
      <name val="Arial"/>
      <family val="2"/>
    </font>
    <font>
      <sz val="8"/>
      <name val="Arial"/>
      <family val="2"/>
    </font>
    <font>
      <sz val="10"/>
      <color indexed="4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</borders>
  <cellStyleXfs count="49">
    <xf numFmtId="0" fontId="0" fillId="0" borderId="0">
      <alignment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Font="0">
      <alignment horizontal="justify" vertical="top" wrapText="1"/>
    </xf>
    <xf numFmtId="38" fontId="9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38" fontId="10" fillId="0" borderId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14" fillId="23" borderId="0"/>
    <xf numFmtId="0" fontId="1" fillId="24" borderId="4" applyNumberFormat="0" applyFon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1" fillId="0" borderId="0" applyFont="0" applyFill="0" applyBorder="0" applyAlignment="0" applyProtection="0"/>
  </cellStyleXfs>
  <cellXfs count="61">
    <xf numFmtId="0" fontId="0" fillId="0" borderId="0" xfId="0" applyAlignment="1"/>
    <xf numFmtId="38" fontId="23" fillId="0" borderId="0" xfId="27" quotePrefix="1" applyFont="1" applyFill="1" applyAlignment="1">
      <alignment horizontal="left"/>
    </xf>
    <xf numFmtId="0" fontId="8" fillId="0" borderId="0" xfId="0" applyFont="1" applyFill="1">
      <alignment vertical="top"/>
    </xf>
    <xf numFmtId="0" fontId="8" fillId="0" borderId="10" xfId="23" applyFont="1" applyBorder="1" applyAlignment="1"/>
    <xf numFmtId="0" fontId="26" fillId="0" borderId="0" xfId="0" applyFont="1" applyFill="1">
      <alignment vertical="top"/>
    </xf>
    <xf numFmtId="0" fontId="27" fillId="0" borderId="0" xfId="0" applyFont="1" applyFill="1">
      <alignment vertical="top"/>
    </xf>
    <xf numFmtId="0" fontId="24" fillId="0" borderId="0" xfId="37" applyNumberFormat="1" applyFont="1" applyFill="1"/>
    <xf numFmtId="0" fontId="25" fillId="0" borderId="0" xfId="23" applyFont="1" applyAlignment="1"/>
    <xf numFmtId="38" fontId="23" fillId="0" borderId="0" xfId="27" quotePrefix="1" applyFont="1" applyFill="1" applyAlignment="1"/>
    <xf numFmtId="38" fontId="23" fillId="0" borderId="0" xfId="27" applyFont="1" applyFill="1" applyAlignment="1"/>
    <xf numFmtId="0" fontId="9" fillId="0" borderId="16" xfId="37" applyNumberFormat="1" applyFont="1" applyFill="1" applyBorder="1" applyAlignment="1"/>
    <xf numFmtId="0" fontId="9" fillId="0" borderId="0" xfId="23" applyFont="1" applyAlignment="1"/>
    <xf numFmtId="38" fontId="23" fillId="0" borderId="0" xfId="27" applyFont="1" applyFill="1" applyAlignment="1">
      <alignment horizontal="left"/>
    </xf>
    <xf numFmtId="3" fontId="23" fillId="0" borderId="11" xfId="25" applyNumberFormat="1" applyFont="1" applyFill="1" applyBorder="1" applyAlignment="1">
      <alignment horizontal="center" vertical="center" wrapText="1"/>
    </xf>
    <xf numFmtId="164" fontId="23" fillId="0" borderId="0" xfId="25" applyNumberFormat="1" applyFont="1" applyFill="1" applyAlignment="1">
      <alignment horizontal="right"/>
    </xf>
    <xf numFmtId="10" fontId="23" fillId="0" borderId="0" xfId="25" applyNumberFormat="1" applyFont="1" applyFill="1" applyAlignment="1">
      <alignment horizontal="right"/>
    </xf>
    <xf numFmtId="0" fontId="8" fillId="0" borderId="0" xfId="26" applyNumberFormat="1" applyFont="1" applyFill="1" applyBorder="1" applyAlignment="1">
      <alignment horizontal="left"/>
    </xf>
    <xf numFmtId="166" fontId="8" fillId="0" borderId="0" xfId="48" applyNumberFormat="1" applyFont="1" applyFill="1" applyAlignment="1">
      <alignment horizontal="right"/>
    </xf>
    <xf numFmtId="166" fontId="23" fillId="0" borderId="0" xfId="48" applyNumberFormat="1" applyFont="1" applyFill="1" applyAlignment="1">
      <alignment horizontal="right"/>
    </xf>
    <xf numFmtId="0" fontId="8" fillId="0" borderId="12" xfId="26" applyNumberFormat="1" applyFont="1" applyFill="1" applyBorder="1" applyAlignment="1">
      <alignment horizontal="left"/>
    </xf>
    <xf numFmtId="0" fontId="23" fillId="0" borderId="0" xfId="26" applyNumberFormat="1" applyFont="1" applyFill="1" applyBorder="1" applyAlignment="1">
      <alignment horizontal="left"/>
    </xf>
    <xf numFmtId="166" fontId="28" fillId="0" borderId="0" xfId="48" applyNumberFormat="1" applyFont="1" applyFill="1" applyAlignment="1">
      <alignment vertical="top"/>
    </xf>
    <xf numFmtId="0" fontId="8" fillId="0" borderId="14" xfId="26" applyNumberFormat="1" applyFont="1" applyFill="1" applyBorder="1" applyAlignment="1">
      <alignment horizontal="left"/>
    </xf>
    <xf numFmtId="0" fontId="8" fillId="0" borderId="13" xfId="26" applyNumberFormat="1" applyFont="1" applyFill="1" applyBorder="1" applyAlignment="1">
      <alignment horizontal="left"/>
    </xf>
    <xf numFmtId="166" fontId="23" fillId="0" borderId="0" xfId="48" applyNumberFormat="1" applyFont="1" applyFill="1" applyAlignment="1" applyProtection="1">
      <alignment horizontal="right"/>
      <protection locked="0"/>
    </xf>
    <xf numFmtId="164" fontId="23" fillId="0" borderId="0" xfId="25" applyNumberFormat="1" applyFont="1" applyFill="1" applyAlignment="1" applyProtection="1">
      <alignment horizontal="right"/>
      <protection locked="0"/>
    </xf>
    <xf numFmtId="166" fontId="8" fillId="0" borderId="0" xfId="48" applyNumberFormat="1" applyFont="1" applyFill="1" applyBorder="1" applyAlignment="1">
      <alignment horizontal="right"/>
    </xf>
    <xf numFmtId="10" fontId="23" fillId="0" borderId="0" xfId="25" applyNumberFormat="1" applyFont="1" applyFill="1" applyAlignment="1" applyProtection="1">
      <alignment horizontal="right"/>
      <protection locked="0"/>
    </xf>
    <xf numFmtId="164" fontId="8" fillId="0" borderId="0" xfId="25" applyNumberFormat="1" applyFont="1" applyFill="1" applyAlignment="1" applyProtection="1">
      <alignment horizontal="right"/>
      <protection locked="0"/>
    </xf>
    <xf numFmtId="10" fontId="8" fillId="0" borderId="0" xfId="25" applyNumberFormat="1" applyFont="1" applyFill="1" applyAlignment="1" applyProtection="1">
      <alignment horizontal="right"/>
      <protection locked="0"/>
    </xf>
    <xf numFmtId="0" fontId="23" fillId="0" borderId="10" xfId="26" applyNumberFormat="1" applyFont="1" applyFill="1" applyBorder="1" applyAlignment="1">
      <alignment horizontal="left"/>
    </xf>
    <xf numFmtId="0" fontId="8" fillId="0" borderId="15" xfId="26" applyNumberFormat="1" applyFont="1" applyFill="1" applyBorder="1" applyAlignment="1">
      <alignment horizontal="left"/>
    </xf>
    <xf numFmtId="164" fontId="8" fillId="0" borderId="10" xfId="25" applyNumberFormat="1" applyFont="1" applyFill="1" applyBorder="1" applyAlignment="1" applyProtection="1">
      <alignment horizontal="right"/>
      <protection locked="0"/>
    </xf>
    <xf numFmtId="10" fontId="8" fillId="0" borderId="10" xfId="25" applyNumberFormat="1" applyFont="1" applyFill="1" applyBorder="1" applyAlignment="1" applyProtection="1">
      <alignment horizontal="right"/>
      <protection locked="0"/>
    </xf>
    <xf numFmtId="165" fontId="24" fillId="0" borderId="0" xfId="48" applyFont="1" applyFill="1"/>
    <xf numFmtId="38" fontId="10" fillId="0" borderId="16" xfId="24" applyFont="1" applyFill="1" applyBorder="1" applyAlignment="1">
      <alignment horizontal="center"/>
    </xf>
    <xf numFmtId="164" fontId="23" fillId="0" borderId="0" xfId="25" applyNumberFormat="1" applyFont="1" applyFill="1" applyAlignment="1" applyProtection="1">
      <alignment horizontal="right"/>
      <protection locked="0"/>
    </xf>
    <xf numFmtId="0" fontId="8" fillId="0" borderId="13" xfId="26" applyNumberFormat="1" applyFont="1" applyFill="1" applyBorder="1" applyAlignment="1">
      <alignment horizontal="left"/>
    </xf>
    <xf numFmtId="0" fontId="8" fillId="0" borderId="12" xfId="26" applyNumberFormat="1" applyFont="1" applyFill="1" applyBorder="1" applyAlignment="1">
      <alignment horizontal="left"/>
    </xf>
    <xf numFmtId="164" fontId="26" fillId="0" borderId="0" xfId="0" applyNumberFormat="1" applyFont="1" applyFill="1">
      <alignment vertical="top"/>
    </xf>
    <xf numFmtId="166" fontId="27" fillId="0" borderId="0" xfId="0" applyNumberFormat="1" applyFont="1" applyFill="1">
      <alignment vertical="top"/>
    </xf>
    <xf numFmtId="164" fontId="27" fillId="0" borderId="0" xfId="0" applyNumberFormat="1" applyFont="1" applyFill="1">
      <alignment vertical="top"/>
    </xf>
    <xf numFmtId="0" fontId="1" fillId="0" borderId="14" xfId="26" applyNumberFormat="1" applyFont="1" applyFill="1" applyBorder="1" applyAlignment="1">
      <alignment horizontal="left"/>
    </xf>
    <xf numFmtId="0" fontId="8" fillId="0" borderId="13" xfId="26" applyNumberFormat="1" applyFont="1" applyFill="1" applyBorder="1" applyAlignment="1">
      <alignment horizontal="left"/>
    </xf>
    <xf numFmtId="166" fontId="1" fillId="0" borderId="0" xfId="48" applyNumberFormat="1" applyFont="1" applyFill="1" applyAlignment="1">
      <alignment horizontal="right"/>
    </xf>
    <xf numFmtId="0" fontId="1" fillId="0" borderId="13" xfId="26" applyNumberFormat="1" applyFont="1" applyFill="1" applyBorder="1" applyAlignment="1">
      <alignment horizontal="left"/>
    </xf>
    <xf numFmtId="0" fontId="8" fillId="0" borderId="12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38" fontId="23" fillId="0" borderId="16" xfId="24" applyFont="1" applyFill="1" applyBorder="1" applyAlignment="1">
      <alignment horizontal="center" wrapText="1"/>
    </xf>
    <xf numFmtId="38" fontId="23" fillId="0" borderId="11" xfId="24" applyFont="1" applyFill="1" applyBorder="1" applyAlignment="1">
      <alignment horizontal="center" wrapText="1"/>
    </xf>
    <xf numFmtId="38" fontId="25" fillId="0" borderId="16" xfId="24" applyFont="1" applyFill="1" applyBorder="1"/>
    <xf numFmtId="0" fontId="8" fillId="0" borderId="13" xfId="26" applyNumberFormat="1" applyFont="1" applyFill="1" applyBorder="1" applyAlignment="1">
      <alignment horizontal="left"/>
    </xf>
    <xf numFmtId="0" fontId="8" fillId="0" borderId="12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23" fillId="0" borderId="13" xfId="26" applyNumberFormat="1" applyFont="1" applyFill="1" applyBorder="1" applyAlignment="1">
      <alignment horizontal="left"/>
    </xf>
    <xf numFmtId="0" fontId="23" fillId="0" borderId="13" xfId="26" applyNumberFormat="1" applyFont="1" applyFill="1" applyBorder="1" applyAlignment="1"/>
    <xf numFmtId="0" fontId="8" fillId="0" borderId="13" xfId="26" applyNumberFormat="1" applyFont="1" applyFill="1" applyBorder="1" applyAlignment="1">
      <alignment horizontal="left" wrapText="1"/>
    </xf>
    <xf numFmtId="0" fontId="23" fillId="0" borderId="12" xfId="26" applyNumberFormat="1" applyFont="1" applyFill="1" applyBorder="1" applyAlignment="1">
      <alignment horizontal="left"/>
    </xf>
    <xf numFmtId="0" fontId="1" fillId="0" borderId="13" xfId="26" applyNumberFormat="1" applyFont="1" applyFill="1" applyBorder="1" applyAlignment="1">
      <alignment horizontal="left"/>
    </xf>
    <xf numFmtId="0" fontId="23" fillId="0" borderId="11" xfId="26" applyNumberFormat="1" applyFont="1" applyFill="1" applyBorder="1" applyAlignment="1">
      <alignment horizontal="center"/>
    </xf>
    <xf numFmtId="0" fontId="23" fillId="0" borderId="17" xfId="26" applyNumberFormat="1" applyFont="1" applyFill="1" applyBorder="1" applyAlignment="1">
      <alignment horizontal="left"/>
    </xf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Incorreto" xfId="35" builtinId="27" customBuiltin="1"/>
    <cellStyle name="Neutra" xfId="36" builtinId="28" customBuiltin="1"/>
    <cellStyle name="Normal" xfId="0" builtinId="0"/>
    <cellStyle name="Normal_DR0100LS" xfId="37"/>
    <cellStyle name="Nota" xfId="38" builtinId="10" customBuiltin="1"/>
    <cellStyle name="Saída" xfId="39" builtinId="21" customBuiltin="1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zoomScaleNormal="100" zoomScaleSheetLayoutView="100" workbookViewId="0">
      <selection activeCell="M14" sqref="M14"/>
    </sheetView>
  </sheetViews>
  <sheetFormatPr defaultRowHeight="12.75" x14ac:dyDescent="0.2"/>
  <cols>
    <col min="1" max="2" width="3.140625" style="6" customWidth="1"/>
    <col min="3" max="3" width="64.5703125" style="6" customWidth="1"/>
    <col min="4" max="4" width="12.7109375" style="6" customWidth="1"/>
    <col min="5" max="5" width="8.28515625" style="6" customWidth="1"/>
    <col min="6" max="6" width="10" style="6" customWidth="1"/>
    <col min="7" max="7" width="8" style="6" bestFit="1" customWidth="1"/>
    <col min="8" max="8" width="10.140625" style="6" customWidth="1"/>
    <col min="9" max="9" width="8" style="6" customWidth="1"/>
    <col min="10" max="10" width="10.5703125" style="6" customWidth="1"/>
    <col min="11" max="11" width="8" style="6" bestFit="1" customWidth="1"/>
    <col min="12" max="16384" width="9.140625" style="2"/>
  </cols>
  <sheetData>
    <row r="1" spans="1:11" x14ac:dyDescent="0.2">
      <c r="A1" s="8" t="s">
        <v>0</v>
      </c>
      <c r="B1" s="8"/>
      <c r="C1" s="8"/>
      <c r="D1" s="8"/>
      <c r="E1" s="1"/>
      <c r="F1" s="8"/>
      <c r="G1" s="1"/>
      <c r="H1" s="8"/>
      <c r="I1" s="1"/>
      <c r="J1" s="8"/>
      <c r="K1" s="1"/>
    </row>
    <row r="2" spans="1:11" x14ac:dyDescent="0.2">
      <c r="A2" s="9" t="s">
        <v>1</v>
      </c>
      <c r="B2" s="9"/>
      <c r="C2" s="9"/>
      <c r="D2" s="9"/>
      <c r="E2" s="12"/>
      <c r="F2" s="9"/>
      <c r="G2" s="12"/>
      <c r="H2" s="9"/>
      <c r="I2" s="12"/>
      <c r="J2" s="9"/>
      <c r="K2" s="12"/>
    </row>
    <row r="3" spans="1:11" ht="12.95" customHeight="1" x14ac:dyDescent="0.2">
      <c r="A3" s="11" t="s">
        <v>25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2.9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2.95" customHeight="1" x14ac:dyDescent="0.2">
      <c r="A5" s="50"/>
      <c r="B5" s="50"/>
      <c r="C5" s="50"/>
      <c r="D5" s="48" t="s">
        <v>40</v>
      </c>
      <c r="E5" s="35"/>
      <c r="F5" s="48" t="s">
        <v>41</v>
      </c>
      <c r="G5" s="35"/>
      <c r="H5" s="48" t="s">
        <v>42</v>
      </c>
      <c r="I5" s="35"/>
      <c r="J5" s="48" t="s">
        <v>43</v>
      </c>
      <c r="K5" s="35"/>
    </row>
    <row r="6" spans="1:11" x14ac:dyDescent="0.2">
      <c r="A6" s="59"/>
      <c r="B6" s="59"/>
      <c r="C6" s="59"/>
      <c r="D6" s="49"/>
      <c r="E6" s="13" t="s">
        <v>2</v>
      </c>
      <c r="F6" s="49"/>
      <c r="G6" s="13" t="s">
        <v>2</v>
      </c>
      <c r="H6" s="49"/>
      <c r="I6" s="13" t="s">
        <v>2</v>
      </c>
      <c r="J6" s="49"/>
      <c r="K6" s="13" t="s">
        <v>2</v>
      </c>
    </row>
    <row r="7" spans="1:11" s="4" customFormat="1" ht="16.5" customHeight="1" x14ac:dyDescent="0.2">
      <c r="A7" s="60" t="s">
        <v>3</v>
      </c>
      <c r="B7" s="60"/>
      <c r="C7" s="60"/>
      <c r="D7" s="14">
        <f>1317</f>
        <v>1317</v>
      </c>
      <c r="E7" s="15"/>
      <c r="F7" s="14">
        <f>3934</f>
        <v>3934</v>
      </c>
      <c r="G7" s="15"/>
      <c r="H7" s="14">
        <f>1863</f>
        <v>1863</v>
      </c>
      <c r="I7" s="15"/>
      <c r="J7" s="14">
        <f>4237</f>
        <v>4237</v>
      </c>
      <c r="K7" s="15"/>
    </row>
    <row r="8" spans="1:11" s="4" customFormat="1" ht="16.5" customHeight="1" x14ac:dyDescent="0.2">
      <c r="A8" s="16"/>
      <c r="B8" s="53" t="s">
        <v>29</v>
      </c>
      <c r="C8" s="52"/>
      <c r="D8" s="17">
        <f>1328</f>
        <v>1328</v>
      </c>
      <c r="E8" s="17"/>
      <c r="F8" s="17">
        <v>3730</v>
      </c>
      <c r="G8" s="17"/>
      <c r="H8" s="17">
        <f>1644</f>
        <v>1644</v>
      </c>
      <c r="I8" s="17"/>
      <c r="J8" s="17">
        <v>3953</v>
      </c>
      <c r="K8" s="17"/>
    </row>
    <row r="9" spans="1:11" s="4" customFormat="1" ht="16.5" customHeight="1" x14ac:dyDescent="0.2">
      <c r="A9" s="16"/>
      <c r="B9" s="58" t="s">
        <v>33</v>
      </c>
      <c r="C9" s="51"/>
      <c r="D9" s="17">
        <f>-11</f>
        <v>-11</v>
      </c>
      <c r="E9" s="17"/>
      <c r="F9" s="17">
        <v>204</v>
      </c>
      <c r="G9" s="17"/>
      <c r="H9" s="17">
        <f>219</f>
        <v>219</v>
      </c>
      <c r="I9" s="17"/>
      <c r="J9" s="17">
        <v>284</v>
      </c>
      <c r="K9" s="17"/>
    </row>
    <row r="10" spans="1:11" s="4" customFormat="1" ht="16.5" customHeight="1" x14ac:dyDescent="0.2">
      <c r="A10" s="57" t="s">
        <v>5</v>
      </c>
      <c r="B10" s="54"/>
      <c r="C10" s="54"/>
      <c r="D10" s="18">
        <f>-863</f>
        <v>-863</v>
      </c>
      <c r="E10" s="18"/>
      <c r="F10" s="18">
        <f>-2331</f>
        <v>-2331</v>
      </c>
      <c r="G10" s="18"/>
      <c r="H10" s="18">
        <f>-890</f>
        <v>-890</v>
      </c>
      <c r="I10" s="18"/>
      <c r="J10" s="18">
        <f>-2319</f>
        <v>-2319</v>
      </c>
      <c r="K10" s="18"/>
    </row>
    <row r="11" spans="1:11" s="5" customFormat="1" ht="16.5" customHeight="1" x14ac:dyDescent="0.2">
      <c r="A11" s="20"/>
      <c r="B11" s="58" t="s">
        <v>38</v>
      </c>
      <c r="C11" s="51"/>
      <c r="D11" s="17">
        <f>-719</f>
        <v>-719</v>
      </c>
      <c r="E11" s="17"/>
      <c r="F11" s="17">
        <v>-1901</v>
      </c>
      <c r="G11" s="17"/>
      <c r="H11" s="17">
        <f>-776</f>
        <v>-776</v>
      </c>
      <c r="I11" s="17"/>
      <c r="J11" s="17">
        <v>-1861</v>
      </c>
      <c r="K11" s="17"/>
    </row>
    <row r="12" spans="1:11" s="4" customFormat="1" ht="16.5" customHeight="1" x14ac:dyDescent="0.2">
      <c r="A12" s="20"/>
      <c r="B12" s="53" t="s">
        <v>36</v>
      </c>
      <c r="C12" s="52"/>
      <c r="D12" s="17">
        <f>-7</f>
        <v>-7</v>
      </c>
      <c r="E12" s="17"/>
      <c r="F12" s="17">
        <v>-30</v>
      </c>
      <c r="G12" s="17"/>
      <c r="H12" s="17">
        <f>-48</f>
        <v>-48</v>
      </c>
      <c r="I12" s="17"/>
      <c r="J12" s="17">
        <v>-65</v>
      </c>
      <c r="K12" s="17"/>
    </row>
    <row r="13" spans="1:11" s="4" customFormat="1" ht="16.5" customHeight="1" x14ac:dyDescent="0.2">
      <c r="A13" s="20"/>
      <c r="B13" s="51" t="s">
        <v>4</v>
      </c>
      <c r="C13" s="51"/>
      <c r="D13" s="17">
        <f>-137</f>
        <v>-137</v>
      </c>
      <c r="E13" s="21"/>
      <c r="F13" s="17">
        <f>-400</f>
        <v>-400</v>
      </c>
      <c r="G13" s="21"/>
      <c r="H13" s="17">
        <f>-66</f>
        <v>-66</v>
      </c>
      <c r="I13" s="21"/>
      <c r="J13" s="17">
        <f>-393</f>
        <v>-393</v>
      </c>
      <c r="K13" s="21"/>
    </row>
    <row r="14" spans="1:11" s="4" customFormat="1" ht="16.5" customHeight="1" x14ac:dyDescent="0.2">
      <c r="A14" s="20"/>
      <c r="B14" s="22"/>
      <c r="C14" s="43" t="s">
        <v>6</v>
      </c>
      <c r="D14" s="17">
        <f>-2</f>
        <v>-2</v>
      </c>
      <c r="E14" s="17"/>
      <c r="F14" s="17">
        <v>-5</v>
      </c>
      <c r="G14" s="17"/>
      <c r="H14" s="17">
        <f>-5</f>
        <v>-5</v>
      </c>
      <c r="I14" s="17"/>
      <c r="J14" s="17">
        <v>-9</v>
      </c>
      <c r="K14" s="17"/>
    </row>
    <row r="15" spans="1:11" s="4" customFormat="1" ht="16.5" customHeight="1" x14ac:dyDescent="0.2">
      <c r="A15" s="20"/>
      <c r="B15" s="16"/>
      <c r="C15" s="23" t="s">
        <v>7</v>
      </c>
      <c r="D15" s="17">
        <f>-131</f>
        <v>-131</v>
      </c>
      <c r="E15" s="17"/>
      <c r="F15" s="44">
        <v>-344</v>
      </c>
      <c r="G15" s="17"/>
      <c r="H15" s="17">
        <f>38</f>
        <v>38</v>
      </c>
      <c r="I15" s="17"/>
      <c r="J15" s="17">
        <v>-175</v>
      </c>
      <c r="K15" s="17"/>
    </row>
    <row r="16" spans="1:11" s="4" customFormat="1" ht="16.5" customHeight="1" x14ac:dyDescent="0.2">
      <c r="A16" s="20"/>
      <c r="B16" s="16"/>
      <c r="C16" s="45" t="s">
        <v>30</v>
      </c>
      <c r="D16" s="17">
        <f>-2</f>
        <v>-2</v>
      </c>
      <c r="E16" s="17"/>
      <c r="F16" s="17">
        <v>-5</v>
      </c>
      <c r="G16" s="17"/>
      <c r="H16" s="17">
        <f>1</f>
        <v>1</v>
      </c>
      <c r="I16" s="17"/>
      <c r="J16" s="17">
        <v>-1</v>
      </c>
      <c r="K16" s="17"/>
    </row>
    <row r="17" spans="1:15" s="4" customFormat="1" ht="16.5" customHeight="1" x14ac:dyDescent="0.2">
      <c r="A17" s="20"/>
      <c r="B17" s="16"/>
      <c r="C17" s="23" t="s">
        <v>8</v>
      </c>
      <c r="D17" s="17">
        <f>0</f>
        <v>0</v>
      </c>
      <c r="E17" s="17"/>
      <c r="F17" s="17">
        <v>-2</v>
      </c>
      <c r="G17" s="17"/>
      <c r="H17" s="17">
        <f>-32</f>
        <v>-32</v>
      </c>
      <c r="I17" s="17"/>
      <c r="J17" s="17">
        <v>-33</v>
      </c>
      <c r="K17" s="17"/>
    </row>
    <row r="18" spans="1:15" s="4" customFormat="1" ht="16.5" customHeight="1" x14ac:dyDescent="0.2">
      <c r="A18" s="20"/>
      <c r="B18" s="16"/>
      <c r="C18" s="23" t="s">
        <v>24</v>
      </c>
      <c r="D18" s="17">
        <f>0</f>
        <v>0</v>
      </c>
      <c r="E18" s="17"/>
      <c r="F18" s="17">
        <v>0</v>
      </c>
      <c r="G18" s="17"/>
      <c r="H18" s="17">
        <f>-2</f>
        <v>-2</v>
      </c>
      <c r="I18" s="17"/>
      <c r="J18" s="17">
        <v>-2</v>
      </c>
      <c r="K18" s="17"/>
    </row>
    <row r="19" spans="1:15" s="4" customFormat="1" ht="16.5" customHeight="1" x14ac:dyDescent="0.2">
      <c r="A19" s="20"/>
      <c r="B19" s="16"/>
      <c r="C19" s="23" t="s">
        <v>4</v>
      </c>
      <c r="D19" s="17">
        <f>-2</f>
        <v>-2</v>
      </c>
      <c r="E19" s="17"/>
      <c r="F19" s="17">
        <v>-44</v>
      </c>
      <c r="G19" s="17"/>
      <c r="H19" s="17">
        <f>-66</f>
        <v>-66</v>
      </c>
      <c r="I19" s="17"/>
      <c r="J19" s="17">
        <v>-173</v>
      </c>
      <c r="K19" s="17"/>
    </row>
    <row r="20" spans="1:15" s="5" customFormat="1" ht="16.5" customHeight="1" x14ac:dyDescent="0.2">
      <c r="A20" s="57" t="s">
        <v>9</v>
      </c>
      <c r="B20" s="57"/>
      <c r="C20" s="54"/>
      <c r="D20" s="36">
        <f>454</f>
        <v>454</v>
      </c>
      <c r="E20" s="24"/>
      <c r="F20" s="36">
        <f>1603</f>
        <v>1603</v>
      </c>
      <c r="G20" s="24"/>
      <c r="H20" s="36">
        <f>973</f>
        <v>973</v>
      </c>
      <c r="I20" s="24"/>
      <c r="J20" s="36">
        <f>1918</f>
        <v>1918</v>
      </c>
      <c r="K20" s="24"/>
    </row>
    <row r="21" spans="1:15" s="4" customFormat="1" ht="16.5" customHeight="1" x14ac:dyDescent="0.2">
      <c r="A21" s="54" t="s">
        <v>32</v>
      </c>
      <c r="B21" s="54"/>
      <c r="C21" s="54"/>
      <c r="D21" s="18">
        <f>-164</f>
        <v>-164</v>
      </c>
      <c r="E21" s="18"/>
      <c r="F21" s="18">
        <v>-475</v>
      </c>
      <c r="G21" s="18"/>
      <c r="H21" s="18">
        <f>-259</f>
        <v>-259</v>
      </c>
      <c r="I21" s="18"/>
      <c r="J21" s="18">
        <v>-456</v>
      </c>
      <c r="K21" s="18"/>
    </row>
    <row r="22" spans="1:15" s="4" customFormat="1" ht="16.5" customHeight="1" x14ac:dyDescent="0.2">
      <c r="A22" s="55" t="s">
        <v>22</v>
      </c>
      <c r="B22" s="55"/>
      <c r="C22" s="55"/>
      <c r="D22" s="18">
        <f>290</f>
        <v>290</v>
      </c>
      <c r="E22" s="18"/>
      <c r="F22" s="18">
        <f>1128</f>
        <v>1128</v>
      </c>
      <c r="G22" s="18"/>
      <c r="H22" s="18">
        <f>714</f>
        <v>714</v>
      </c>
      <c r="I22" s="18"/>
      <c r="J22" s="18">
        <f>1462</f>
        <v>1462</v>
      </c>
      <c r="K22" s="18"/>
      <c r="L22" s="39"/>
    </row>
    <row r="23" spans="1:15" s="4" customFormat="1" ht="16.5" customHeight="1" x14ac:dyDescent="0.2">
      <c r="A23" s="55" t="s">
        <v>10</v>
      </c>
      <c r="B23" s="55"/>
      <c r="C23" s="55"/>
      <c r="D23" s="24">
        <f>2255</f>
        <v>2255</v>
      </c>
      <c r="E23" s="24"/>
      <c r="F23" s="24">
        <f>5784</f>
        <v>5784</v>
      </c>
      <c r="G23" s="24"/>
      <c r="H23" s="24">
        <f>1535</f>
        <v>1535</v>
      </c>
      <c r="I23" s="24"/>
      <c r="J23" s="24">
        <f>4213</f>
        <v>4213</v>
      </c>
      <c r="K23" s="24"/>
    </row>
    <row r="24" spans="1:15" s="4" customFormat="1" ht="27" customHeight="1" x14ac:dyDescent="0.2">
      <c r="A24" s="22"/>
      <c r="B24" s="56" t="s">
        <v>27</v>
      </c>
      <c r="C24" s="56"/>
      <c r="D24" s="44">
        <f>2178</f>
        <v>2178</v>
      </c>
      <c r="E24" s="26"/>
      <c r="F24" s="17">
        <v>5587</v>
      </c>
      <c r="G24" s="26"/>
      <c r="H24" s="44">
        <f>1485</f>
        <v>1485</v>
      </c>
      <c r="I24" s="26"/>
      <c r="J24" s="26">
        <v>4057</v>
      </c>
      <c r="K24" s="26"/>
    </row>
    <row r="25" spans="1:15" s="4" customFormat="1" ht="16.5" customHeight="1" x14ac:dyDescent="0.2">
      <c r="A25" s="16"/>
      <c r="B25" s="53" t="s">
        <v>37</v>
      </c>
      <c r="C25" s="52"/>
      <c r="D25" s="17">
        <f>77</f>
        <v>77</v>
      </c>
      <c r="E25" s="17"/>
      <c r="F25" s="17">
        <v>196</v>
      </c>
      <c r="G25" s="17"/>
      <c r="H25" s="17">
        <f>50</f>
        <v>50</v>
      </c>
      <c r="I25" s="17"/>
      <c r="J25" s="17">
        <v>156</v>
      </c>
      <c r="K25" s="17"/>
    </row>
    <row r="26" spans="1:15" s="4" customFormat="1" ht="16.5" customHeight="1" x14ac:dyDescent="0.2">
      <c r="A26" s="16"/>
      <c r="B26" s="58" t="s">
        <v>33</v>
      </c>
      <c r="C26" s="51"/>
      <c r="D26" s="17">
        <f>0</f>
        <v>0</v>
      </c>
      <c r="E26" s="17"/>
      <c r="F26" s="17">
        <v>1</v>
      </c>
      <c r="G26" s="17"/>
      <c r="H26" s="17">
        <f>0</f>
        <v>0</v>
      </c>
      <c r="I26" s="17"/>
      <c r="J26" s="17">
        <v>0</v>
      </c>
      <c r="K26" s="17"/>
    </row>
    <row r="27" spans="1:15" s="5" customFormat="1" ht="16.5" customHeight="1" x14ac:dyDescent="0.2">
      <c r="A27" s="57" t="s">
        <v>11</v>
      </c>
      <c r="B27" s="54"/>
      <c r="C27" s="54"/>
      <c r="D27" s="36">
        <f>2545</f>
        <v>2545</v>
      </c>
      <c r="E27" s="27"/>
      <c r="F27" s="36">
        <f>6912</f>
        <v>6912</v>
      </c>
      <c r="G27" s="27"/>
      <c r="H27" s="36">
        <f>2249</f>
        <v>2249</v>
      </c>
      <c r="I27" s="27"/>
      <c r="J27" s="25">
        <f>5675</f>
        <v>5675</v>
      </c>
      <c r="K27" s="27"/>
      <c r="L27" s="41"/>
      <c r="O27" s="41"/>
    </row>
    <row r="28" spans="1:15" s="5" customFormat="1" ht="16.5" customHeight="1" x14ac:dyDescent="0.2">
      <c r="A28" s="54" t="s">
        <v>12</v>
      </c>
      <c r="B28" s="54"/>
      <c r="C28" s="54"/>
      <c r="D28" s="36">
        <f>2545</f>
        <v>2545</v>
      </c>
      <c r="E28" s="27">
        <f>1</f>
        <v>1</v>
      </c>
      <c r="F28" s="36">
        <f>6912</f>
        <v>6912</v>
      </c>
      <c r="G28" s="27">
        <f>1</f>
        <v>1</v>
      </c>
      <c r="H28" s="36">
        <f>2249</f>
        <v>2249</v>
      </c>
      <c r="I28" s="27">
        <f>1</f>
        <v>1</v>
      </c>
      <c r="J28" s="25">
        <f>5675</f>
        <v>5675</v>
      </c>
      <c r="K28" s="27">
        <f>0.999989999999999</f>
        <v>0.99998999999999905</v>
      </c>
      <c r="M28" s="41"/>
    </row>
    <row r="29" spans="1:15" s="5" customFormat="1" ht="16.5" customHeight="1" x14ac:dyDescent="0.2">
      <c r="A29" s="20"/>
      <c r="B29" s="51" t="s">
        <v>13</v>
      </c>
      <c r="C29" s="51"/>
      <c r="D29" s="28">
        <f>183</f>
        <v>183</v>
      </c>
      <c r="E29" s="29">
        <f>0.07191</f>
        <v>7.1910000000000002E-2</v>
      </c>
      <c r="F29" s="28">
        <f>611</f>
        <v>611</v>
      </c>
      <c r="G29" s="29">
        <f>0.0884</f>
        <v>8.8400000000000006E-2</v>
      </c>
      <c r="H29" s="28">
        <f>315</f>
        <v>315</v>
      </c>
      <c r="I29" s="29">
        <f>0.140059999999999</f>
        <v>0.14005999999999899</v>
      </c>
      <c r="J29" s="28">
        <f>836</f>
        <v>836</v>
      </c>
      <c r="K29" s="29">
        <f>0.14731</f>
        <v>0.14731</v>
      </c>
    </row>
    <row r="30" spans="1:15" s="5" customFormat="1" ht="16.5" customHeight="1" x14ac:dyDescent="0.2">
      <c r="A30" s="20"/>
      <c r="B30" s="20"/>
      <c r="C30" s="16" t="s">
        <v>14</v>
      </c>
      <c r="D30" s="17">
        <f>148</f>
        <v>148</v>
      </c>
      <c r="E30" s="29"/>
      <c r="F30" s="17">
        <v>499</v>
      </c>
      <c r="G30" s="29"/>
      <c r="H30" s="17">
        <f>241</f>
        <v>241</v>
      </c>
      <c r="I30" s="29"/>
      <c r="J30" s="28">
        <v>680</v>
      </c>
      <c r="K30" s="29"/>
      <c r="M30" s="17"/>
      <c r="N30" s="40"/>
    </row>
    <row r="31" spans="1:15" s="5" customFormat="1" ht="16.5" customHeight="1" x14ac:dyDescent="0.2">
      <c r="A31" s="20"/>
      <c r="B31" s="20"/>
      <c r="C31" s="37" t="s">
        <v>15</v>
      </c>
      <c r="D31" s="17">
        <f>24</f>
        <v>24</v>
      </c>
      <c r="E31" s="29"/>
      <c r="F31" s="17">
        <v>80</v>
      </c>
      <c r="G31" s="29"/>
      <c r="H31" s="17">
        <f>35</f>
        <v>35</v>
      </c>
      <c r="I31" s="29"/>
      <c r="J31" s="28">
        <v>93</v>
      </c>
      <c r="K31" s="29"/>
      <c r="M31" s="17"/>
      <c r="N31" s="40"/>
      <c r="O31" s="40"/>
    </row>
    <row r="32" spans="1:15" s="5" customFormat="1" ht="16.5" customHeight="1" x14ac:dyDescent="0.2">
      <c r="A32" s="20"/>
      <c r="B32" s="20"/>
      <c r="C32" s="38" t="s">
        <v>16</v>
      </c>
      <c r="D32" s="17">
        <f>11</f>
        <v>11</v>
      </c>
      <c r="E32" s="29"/>
      <c r="F32" s="17">
        <v>32</v>
      </c>
      <c r="G32" s="29"/>
      <c r="H32" s="17">
        <f>39</f>
        <v>39</v>
      </c>
      <c r="I32" s="29"/>
      <c r="J32" s="28">
        <v>63</v>
      </c>
      <c r="K32" s="29"/>
      <c r="M32" s="17"/>
      <c r="N32" s="40"/>
      <c r="O32" s="40"/>
    </row>
    <row r="33" spans="1:14" s="5" customFormat="1" ht="16.5" customHeight="1" x14ac:dyDescent="0.2">
      <c r="A33" s="20"/>
      <c r="B33" s="52" t="s">
        <v>17</v>
      </c>
      <c r="C33" s="52"/>
      <c r="D33" s="28">
        <f>67</f>
        <v>67</v>
      </c>
      <c r="E33" s="29">
        <f>0.0263299999999999</f>
        <v>2.6329999999999899E-2</v>
      </c>
      <c r="F33" s="28">
        <f>272</f>
        <v>272</v>
      </c>
      <c r="G33" s="29">
        <f>0.03935</f>
        <v>3.9350000000000003E-2</v>
      </c>
      <c r="H33" s="28">
        <f>241</f>
        <v>241</v>
      </c>
      <c r="I33" s="29">
        <f>0.10716</f>
        <v>0.10716000000000001</v>
      </c>
      <c r="J33" s="28">
        <f>440</f>
        <v>440</v>
      </c>
      <c r="K33" s="29">
        <f>0.07753</f>
        <v>7.7530000000000002E-2</v>
      </c>
      <c r="N33" s="40"/>
    </row>
    <row r="34" spans="1:14" s="5" customFormat="1" ht="16.5" customHeight="1" x14ac:dyDescent="0.2">
      <c r="A34" s="20"/>
      <c r="B34" s="20"/>
      <c r="C34" s="19" t="s">
        <v>18</v>
      </c>
      <c r="D34" s="17">
        <f>67</f>
        <v>67</v>
      </c>
      <c r="E34" s="29"/>
      <c r="F34" s="17">
        <v>271</v>
      </c>
      <c r="G34" s="29"/>
      <c r="H34" s="17">
        <f>226</f>
        <v>226</v>
      </c>
      <c r="I34" s="29"/>
      <c r="J34" s="28">
        <v>423</v>
      </c>
      <c r="K34" s="29"/>
    </row>
    <row r="35" spans="1:14" s="5" customFormat="1" ht="16.5" customHeight="1" x14ac:dyDescent="0.2">
      <c r="A35" s="20"/>
      <c r="B35" s="20"/>
      <c r="C35" s="19" t="s">
        <v>19</v>
      </c>
      <c r="D35" s="17">
        <f>0</f>
        <v>0</v>
      </c>
      <c r="E35" s="29"/>
      <c r="F35" s="17">
        <v>1</v>
      </c>
      <c r="G35" s="29"/>
      <c r="H35" s="17">
        <f>15</f>
        <v>15</v>
      </c>
      <c r="I35" s="29"/>
      <c r="J35" s="28">
        <v>16</v>
      </c>
      <c r="K35" s="29"/>
    </row>
    <row r="36" spans="1:14" s="5" customFormat="1" ht="16.5" customHeight="1" x14ac:dyDescent="0.2">
      <c r="A36" s="20"/>
      <c r="B36" s="20"/>
      <c r="C36" s="19" t="s">
        <v>20</v>
      </c>
      <c r="D36" s="17">
        <f>0</f>
        <v>0</v>
      </c>
      <c r="E36" s="29"/>
      <c r="F36" s="17">
        <v>0</v>
      </c>
      <c r="G36" s="29"/>
      <c r="H36" s="17">
        <f>0</f>
        <v>0</v>
      </c>
      <c r="I36" s="29"/>
      <c r="J36" s="28">
        <v>1</v>
      </c>
      <c r="K36" s="29"/>
    </row>
    <row r="37" spans="1:14" s="5" customFormat="1" ht="16.5" customHeight="1" x14ac:dyDescent="0.2">
      <c r="A37" s="20"/>
      <c r="B37" s="53" t="s">
        <v>34</v>
      </c>
      <c r="C37" s="52"/>
      <c r="D37" s="17">
        <f>87</f>
        <v>87</v>
      </c>
      <c r="E37" s="29">
        <f>0.03418</f>
        <v>3.4180000000000002E-2</v>
      </c>
      <c r="F37" s="17">
        <f>243</f>
        <v>243</v>
      </c>
      <c r="G37" s="29">
        <f>0.0351599999999999</f>
        <v>3.51599999999999E-2</v>
      </c>
      <c r="H37" s="17">
        <f>61</f>
        <v>61</v>
      </c>
      <c r="I37" s="29">
        <f>0.0271199999999999</f>
        <v>2.7119999999999901E-2</v>
      </c>
      <c r="J37" s="17">
        <f>205</f>
        <v>205</v>
      </c>
      <c r="K37" s="29">
        <f>0.0361199999999999</f>
        <v>3.6119999999999902E-2</v>
      </c>
    </row>
    <row r="38" spans="1:14" s="4" customFormat="1" ht="16.5" customHeight="1" x14ac:dyDescent="0.2">
      <c r="A38" s="16"/>
      <c r="C38" s="47" t="s">
        <v>39</v>
      </c>
      <c r="D38" s="17">
        <f>87</f>
        <v>87</v>
      </c>
      <c r="E38" s="17"/>
      <c r="F38" s="17">
        <v>242</v>
      </c>
      <c r="G38" s="17"/>
      <c r="H38" s="17">
        <f>65</f>
        <v>65</v>
      </c>
      <c r="I38" s="17"/>
      <c r="J38" s="17">
        <v>204</v>
      </c>
      <c r="K38" s="17"/>
    </row>
    <row r="39" spans="1:14" s="5" customFormat="1" ht="16.5" customHeight="1" x14ac:dyDescent="0.2">
      <c r="A39" s="20"/>
      <c r="C39" s="46" t="s">
        <v>35</v>
      </c>
      <c r="D39" s="17">
        <f>0</f>
        <v>0</v>
      </c>
      <c r="E39" s="29"/>
      <c r="F39" s="17">
        <v>1</v>
      </c>
      <c r="G39" s="29"/>
      <c r="H39" s="17">
        <f>-4</f>
        <v>-4</v>
      </c>
      <c r="I39" s="29"/>
      <c r="J39" s="28">
        <v>1</v>
      </c>
      <c r="K39" s="29"/>
    </row>
    <row r="40" spans="1:14" s="5" customFormat="1" ht="16.5" customHeight="1" x14ac:dyDescent="0.2">
      <c r="A40" s="20"/>
      <c r="B40" s="46" t="s">
        <v>28</v>
      </c>
      <c r="C40" s="46"/>
      <c r="D40" s="28">
        <f>2208</f>
        <v>2208</v>
      </c>
      <c r="E40" s="29">
        <f>0.86758</f>
        <v>0.86758000000000002</v>
      </c>
      <c r="F40" s="28">
        <f>5786</f>
        <v>5786</v>
      </c>
      <c r="G40" s="29">
        <f>0.83709</f>
        <v>0.83709</v>
      </c>
      <c r="H40" s="28">
        <f>1632</f>
        <v>1632</v>
      </c>
      <c r="I40" s="29">
        <f>0.725659999999999</f>
        <v>0.72565999999999897</v>
      </c>
      <c r="J40" s="28">
        <f>4194</f>
        <v>4194</v>
      </c>
      <c r="K40" s="29">
        <f>0.739029999999999</f>
        <v>0.73902999999999897</v>
      </c>
    </row>
    <row r="41" spans="1:14" s="5" customFormat="1" ht="16.5" customHeight="1" x14ac:dyDescent="0.2">
      <c r="A41" s="20"/>
      <c r="B41" s="20"/>
      <c r="C41" s="16" t="s">
        <v>21</v>
      </c>
      <c r="D41" s="17">
        <f>508</f>
        <v>508</v>
      </c>
      <c r="E41" s="29"/>
      <c r="F41" s="17">
        <v>1436</v>
      </c>
      <c r="G41" s="29"/>
      <c r="H41" s="17">
        <f>412</f>
        <v>412</v>
      </c>
      <c r="I41" s="29"/>
      <c r="J41" s="28">
        <v>1053</v>
      </c>
      <c r="K41" s="29"/>
    </row>
    <row r="42" spans="1:14" s="5" customFormat="1" ht="16.5" customHeight="1" x14ac:dyDescent="0.2">
      <c r="A42" s="20"/>
      <c r="B42" s="20"/>
      <c r="C42" s="42" t="s">
        <v>26</v>
      </c>
      <c r="D42" s="17">
        <f>1647</f>
        <v>1647</v>
      </c>
      <c r="E42" s="29"/>
      <c r="F42" s="17">
        <v>4157</v>
      </c>
      <c r="G42" s="29"/>
      <c r="H42" s="17">
        <f>1113</f>
        <v>1113</v>
      </c>
      <c r="I42" s="29"/>
      <c r="J42" s="28">
        <v>2869</v>
      </c>
      <c r="K42" s="29"/>
    </row>
    <row r="43" spans="1:14" s="5" customFormat="1" ht="16.5" customHeight="1" thickBot="1" x14ac:dyDescent="0.25">
      <c r="A43" s="30"/>
      <c r="B43" s="30"/>
      <c r="C43" s="31" t="s">
        <v>23</v>
      </c>
      <c r="D43" s="17">
        <f>53</f>
        <v>53</v>
      </c>
      <c r="E43" s="33"/>
      <c r="F43" s="17">
        <v>193</v>
      </c>
      <c r="G43" s="33"/>
      <c r="H43" s="17">
        <f>107</f>
        <v>107</v>
      </c>
      <c r="I43" s="33"/>
      <c r="J43" s="32">
        <v>272</v>
      </c>
      <c r="K43" s="33"/>
    </row>
    <row r="44" spans="1:14" x14ac:dyDescent="0.2">
      <c r="A44" s="10" t="s">
        <v>31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4" x14ac:dyDescent="0.2">
      <c r="D45" s="34"/>
      <c r="F45" s="34"/>
      <c r="H45" s="34"/>
    </row>
  </sheetData>
  <mergeCells count="25">
    <mergeCell ref="A6:C6"/>
    <mergeCell ref="A7:C7"/>
    <mergeCell ref="B8:C8"/>
    <mergeCell ref="A20:C20"/>
    <mergeCell ref="B9:C9"/>
    <mergeCell ref="B13:C13"/>
    <mergeCell ref="A10:C10"/>
    <mergeCell ref="B11:C11"/>
    <mergeCell ref="B12:C12"/>
    <mergeCell ref="B29:C29"/>
    <mergeCell ref="B33:C33"/>
    <mergeCell ref="B37:C37"/>
    <mergeCell ref="A21:C21"/>
    <mergeCell ref="A22:C22"/>
    <mergeCell ref="A23:C23"/>
    <mergeCell ref="B24:C24"/>
    <mergeCell ref="A27:C27"/>
    <mergeCell ref="A28:C28"/>
    <mergeCell ref="B25:C25"/>
    <mergeCell ref="B26:C26"/>
    <mergeCell ref="D5:D6"/>
    <mergeCell ref="F5:F6"/>
    <mergeCell ref="H5:H6"/>
    <mergeCell ref="J5:J6"/>
    <mergeCell ref="A5:C5"/>
  </mergeCells>
  <pageMargins left="0.78740157480314965" right="0.78740157480314965" top="0.70866141732283472" bottom="0.98425196850393704" header="0.51181102362204722" footer="0.51181102362204722"/>
  <pageSetup paperSize="9" scale="82" orientation="portrait" r:id="rId1"/>
  <headerFooter alignWithMargins="0"/>
  <ignoredErrors>
    <ignoredError sqref="D31:E32 G31:I32 D13:E13 G11:I11 K31:K32 D11:E12 D14:E16 K17:K22 G12:I12 G14:I16 G17:I19 K27 K11:K12 K24 K13:K16 F13:I13 D17:E19" formula="1"/>
    <ignoredError sqref="E20 D40:E40 D33:E33 G33:I33 D30:E30 G30:I30 K28:K29 E23 D21:E21 D27:E27 D24:E24 D34:E36 K36 D41:E43 K43 D29:E29 K34 K35 K41 K42 G21:I21 G24 G36:I36 G43:I43 G34:I34 G35:I35 G41:I41 G42:I42 E37 G37 K37 G20 D22:E22 G22:I22 G23 F40:I40 F27:I28 F29:I29 J33:K33 J22 J40:K40 J27:J28 I20 E28 I24 I23 I37" formula="1" unlockedFormula="1"/>
    <ignoredError sqref="F33" formula="1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32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30B142-272C-46E7-81A8-570919FAA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Thiago Lucas</cp:lastModifiedBy>
  <cp:lastPrinted>2014-04-28T23:00:53Z</cp:lastPrinted>
  <dcterms:created xsi:type="dcterms:W3CDTF">2011-03-23T19:02:34Z</dcterms:created>
  <dcterms:modified xsi:type="dcterms:W3CDTF">2014-11-03T18:36:54Z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